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915"/>
  <workbookPr/>
  <mc:AlternateContent xmlns:mc="http://schemas.openxmlformats.org/markup-compatibility/2006">
    <mc:Choice Requires="x15">
      <x15ac:absPath xmlns:x15ac="http://schemas.microsoft.com/office/spreadsheetml/2010/11/ac" url="/Users/andres-esilva/Documents/"/>
    </mc:Choice>
  </mc:AlternateContent>
  <bookViews>
    <workbookView xWindow="0" yWindow="460" windowWidth="27820" windowHeight="16080" tabRatio="500" activeTab="1"/>
  </bookViews>
  <sheets>
    <sheet name="PRICES AND EARNINGS" sheetId="1" r:id="rId1"/>
    <sheet name="WAGES AND BENEFITS" sheetId="2" r:id="rId2"/>
    <sheet name="COSTOS &amp; GASTOS" sheetId="3" r:id="rId3"/>
    <sheet name="BALANCE GENERAL " sheetId="4" r:id="rId4"/>
  </sheets>
  <externalReferences>
    <externalReference r:id="rId5"/>
  </externalReferenc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4" i="4" l="1"/>
  <c r="J5" i="4"/>
  <c r="J15" i="4"/>
  <c r="J16" i="4"/>
  <c r="J7" i="4"/>
  <c r="J17" i="4"/>
  <c r="J18" i="4"/>
  <c r="J19" i="4"/>
  <c r="J20" i="4"/>
  <c r="F11" i="4"/>
  <c r="C5" i="4"/>
  <c r="C6" i="4"/>
  <c r="C8" i="4"/>
  <c r="F5" i="4"/>
  <c r="F6" i="4"/>
  <c r="F8" i="4"/>
  <c r="F12" i="4"/>
  <c r="F14" i="4"/>
  <c r="F15" i="4"/>
  <c r="M4" i="4"/>
  <c r="M5" i="4"/>
  <c r="M6" i="4"/>
  <c r="M7" i="4"/>
  <c r="M8" i="4"/>
  <c r="M9" i="4"/>
  <c r="M10" i="4"/>
  <c r="J4" i="4"/>
  <c r="J6" i="4"/>
  <c r="J8" i="4"/>
  <c r="J9" i="4"/>
  <c r="J10" i="4"/>
  <c r="F26" i="3"/>
  <c r="C19" i="3"/>
  <c r="C20" i="3"/>
  <c r="F14" i="3"/>
  <c r="F17" i="3"/>
  <c r="C12" i="3"/>
  <c r="C13" i="3"/>
  <c r="C14" i="3"/>
  <c r="C15" i="3"/>
  <c r="C16" i="3"/>
  <c r="F12" i="3"/>
  <c r="F6" i="3"/>
  <c r="I9" i="3"/>
  <c r="C6" i="3"/>
  <c r="C9" i="3"/>
  <c r="C8" i="3"/>
  <c r="C15" i="2"/>
  <c r="E15" i="2"/>
  <c r="F15" i="2"/>
  <c r="F22" i="2"/>
  <c r="C16" i="2"/>
  <c r="E16" i="2"/>
  <c r="F16" i="2"/>
  <c r="C17" i="2"/>
  <c r="E17" i="2"/>
  <c r="F17" i="2"/>
  <c r="C18" i="2"/>
  <c r="E18" i="2"/>
  <c r="F18" i="2"/>
  <c r="C19" i="2"/>
  <c r="E19" i="2"/>
  <c r="F19" i="2"/>
  <c r="F20" i="2"/>
  <c r="F21" i="2"/>
  <c r="P15" i="2"/>
  <c r="P16" i="2"/>
  <c r="P17" i="2"/>
  <c r="P18" i="2"/>
  <c r="P19" i="2"/>
  <c r="P20" i="2"/>
  <c r="O15" i="2"/>
  <c r="O16" i="2"/>
  <c r="O17" i="2"/>
  <c r="O18" i="2"/>
  <c r="O19" i="2"/>
  <c r="O20" i="2"/>
  <c r="N15" i="2"/>
  <c r="N16" i="2"/>
  <c r="N17" i="2"/>
  <c r="N18" i="2"/>
  <c r="N19" i="2"/>
  <c r="N20" i="2"/>
  <c r="M15" i="2"/>
  <c r="M16" i="2"/>
  <c r="M17" i="2"/>
  <c r="M18" i="2"/>
  <c r="M19" i="2"/>
  <c r="M20" i="2"/>
  <c r="L15" i="2"/>
  <c r="L16" i="2"/>
  <c r="L17" i="2"/>
  <c r="L18" i="2"/>
  <c r="L19" i="2"/>
  <c r="L20" i="2"/>
  <c r="K15" i="2"/>
  <c r="K16" i="2"/>
  <c r="K17" i="2"/>
  <c r="K18" i="2"/>
  <c r="K19" i="2"/>
  <c r="K20" i="2"/>
  <c r="J15" i="2"/>
  <c r="J16" i="2"/>
  <c r="J17" i="2"/>
  <c r="J18" i="2"/>
  <c r="J19" i="2"/>
  <c r="J20" i="2"/>
  <c r="I15" i="2"/>
  <c r="I16" i="2"/>
  <c r="I17" i="2"/>
  <c r="I18" i="2"/>
  <c r="I19" i="2"/>
  <c r="I20" i="2"/>
  <c r="H15" i="2"/>
  <c r="H16" i="2"/>
  <c r="H17" i="2"/>
  <c r="H18" i="2"/>
  <c r="H19" i="2"/>
  <c r="H20" i="2"/>
  <c r="G15" i="2"/>
  <c r="G16" i="2"/>
  <c r="G20" i="2"/>
  <c r="E36" i="1"/>
  <c r="E20" i="1"/>
  <c r="E21" i="1"/>
  <c r="E22" i="1"/>
  <c r="E23" i="1"/>
  <c r="E25" i="1"/>
  <c r="E26" i="1"/>
  <c r="E27" i="1"/>
  <c r="E28" i="1"/>
  <c r="E29" i="1"/>
  <c r="E30" i="1"/>
  <c r="E31" i="1"/>
  <c r="E32" i="1"/>
  <c r="E34" i="1"/>
  <c r="H20" i="1"/>
  <c r="J20" i="1"/>
  <c r="H21" i="1"/>
  <c r="J21" i="1"/>
  <c r="J22" i="1"/>
  <c r="J33" i="1"/>
  <c r="G7" i="1"/>
  <c r="H7" i="1"/>
  <c r="G6" i="1"/>
  <c r="H6" i="1"/>
  <c r="G4" i="1"/>
  <c r="H4" i="1"/>
  <c r="G3" i="1"/>
  <c r="H3" i="1"/>
</calcChain>
</file>

<file path=xl/sharedStrings.xml><?xml version="1.0" encoding="utf-8"?>
<sst xmlns="http://schemas.openxmlformats.org/spreadsheetml/2006/main" count="162" uniqueCount="121">
  <si>
    <t>Taxes</t>
  </si>
  <si>
    <t>General Manager</t>
  </si>
  <si>
    <t xml:space="preserve">PRICES </t>
  </si>
  <si>
    <t>DISCOUNTS</t>
  </si>
  <si>
    <t xml:space="preserve">Hair cute Male </t>
  </si>
  <si>
    <t>4 full days (5%)</t>
  </si>
  <si>
    <t>per day</t>
  </si>
  <si>
    <t xml:space="preserve">Hair cute Female </t>
  </si>
  <si>
    <t>Full day week (15%)</t>
  </si>
  <si>
    <t>Manicure</t>
  </si>
  <si>
    <t xml:space="preserve">Pedicure </t>
  </si>
  <si>
    <t>4 half days (5%)</t>
  </si>
  <si>
    <t>Hair removal</t>
  </si>
  <si>
    <t>Half day week (15%)</t>
  </si>
  <si>
    <t xml:space="preserve">Legs </t>
  </si>
  <si>
    <t xml:space="preserve">Armpits </t>
  </si>
  <si>
    <t xml:space="preserve">Moustache </t>
  </si>
  <si>
    <t>Eyebrows</t>
  </si>
  <si>
    <t>Bikini</t>
  </si>
  <si>
    <t xml:space="preserve">All hair removal </t>
  </si>
  <si>
    <t xml:space="preserve">Brushing </t>
  </si>
  <si>
    <t>Make Up</t>
  </si>
  <si>
    <t>EARNINGS IN THE FIRST MONTH OF OPERATION</t>
  </si>
  <si>
    <t>EARNINGS IN THE 2ND SEMESTER OF OPERATION</t>
  </si>
  <si>
    <t>AMOUNT OF SALES</t>
  </si>
  <si>
    <t>QUANTITY</t>
  </si>
  <si>
    <t>PESOS</t>
  </si>
  <si>
    <t>Full day (14 hours)</t>
  </si>
  <si>
    <t>Half day (7 hours)</t>
  </si>
  <si>
    <t>Monthly Income</t>
  </si>
  <si>
    <t>TYPE OF EMPLOYEE</t>
  </si>
  <si>
    <t xml:space="preserve">NUMBER </t>
  </si>
  <si>
    <r>
      <t>MONTHLY SALARY</t>
    </r>
    <r>
      <rPr>
        <b/>
        <sz val="11"/>
        <color rgb="FFFF0000"/>
        <rFont val="Calibri"/>
        <family val="2"/>
        <scheme val="minor"/>
      </rPr>
      <t>*</t>
    </r>
  </si>
  <si>
    <t>Logistic Manager</t>
  </si>
  <si>
    <t>Marketing Manager</t>
  </si>
  <si>
    <t>Secretary 1</t>
  </si>
  <si>
    <t>Secretary 2</t>
  </si>
  <si>
    <t>HAIRSTYLE</t>
  </si>
  <si>
    <t>SOCIAL BENEFITS</t>
  </si>
  <si>
    <t>FISCAL CONTRIBUTIONS</t>
  </si>
  <si>
    <t>DEDUCTIONS</t>
  </si>
  <si>
    <t>Organizational Payroll</t>
  </si>
  <si>
    <t>EMPLOYEE</t>
  </si>
  <si>
    <t>SALARY</t>
  </si>
  <si>
    <t>WORKED DAYS</t>
  </si>
  <si>
    <t>DAYLY VALUE</t>
  </si>
  <si>
    <t>MONTHLY SALARY</t>
  </si>
  <si>
    <t xml:space="preserve">TRANSPORT </t>
  </si>
  <si>
    <t>SEVERANCE</t>
  </si>
  <si>
    <t>i/SEVERANCE</t>
  </si>
  <si>
    <t>VACATIONS</t>
  </si>
  <si>
    <t>(PRIMAS)</t>
  </si>
  <si>
    <t>PENSION</t>
  </si>
  <si>
    <t>ARL (OCUPATIONAL HAZARDS)</t>
  </si>
  <si>
    <t>COMPENSATION FUND</t>
  </si>
  <si>
    <t>HEALTH</t>
  </si>
  <si>
    <t>PENSIONS</t>
  </si>
  <si>
    <t>Secretary</t>
  </si>
  <si>
    <t>Losgistic Manager</t>
  </si>
  <si>
    <t>MERCANCÍAS COMPRADAS A CRÉDITO</t>
  </si>
  <si>
    <t>COMPRAS PARA LA EMPRESA</t>
  </si>
  <si>
    <t>Valor</t>
  </si>
  <si>
    <t>Promoción y Creación Aplicación</t>
  </si>
  <si>
    <t>escritorio</t>
  </si>
  <si>
    <t>Cuota Inicial</t>
  </si>
  <si>
    <t>silla</t>
  </si>
  <si>
    <t>valor a financiar</t>
  </si>
  <si>
    <t>Cuota mensual (apartir del mes 13)</t>
  </si>
  <si>
    <t>COMPRAS PARA INVENTARIO</t>
  </si>
  <si>
    <t xml:space="preserve">Pago anual </t>
  </si>
  <si>
    <t>Celular 1</t>
  </si>
  <si>
    <t>Capital Inicial</t>
  </si>
  <si>
    <t>Deuda</t>
  </si>
  <si>
    <t>Celular 2</t>
  </si>
  <si>
    <t>Capital Inicial - Inversión</t>
  </si>
  <si>
    <t>Computador + Office + Servicio Telefónico</t>
  </si>
  <si>
    <t>Valor restante a pagar</t>
  </si>
  <si>
    <t>Costo de renovación de inventario primer año</t>
  </si>
  <si>
    <t>Cuota mensual (3,5%)</t>
  </si>
  <si>
    <t>Traperos x8</t>
  </si>
  <si>
    <t>Pago anual</t>
  </si>
  <si>
    <t xml:space="preserve">COSTO ANUAL </t>
  </si>
  <si>
    <t>GASTOS</t>
  </si>
  <si>
    <t xml:space="preserve">Almuerzo Mensual </t>
  </si>
  <si>
    <t>Gatos publicidad</t>
  </si>
  <si>
    <t>Arriendo oficina</t>
  </si>
  <si>
    <t>Twitter</t>
  </si>
  <si>
    <t>Facebook</t>
  </si>
  <si>
    <t>Instagram</t>
  </si>
  <si>
    <t>Youtube</t>
  </si>
  <si>
    <t>Google ads</t>
  </si>
  <si>
    <t>Pamphlet</t>
  </si>
  <si>
    <t>40,000 (20 For Employee, 20 For Pamphlet)</t>
  </si>
  <si>
    <t>total Gatos publicidad</t>
  </si>
  <si>
    <t>Registro camara y comercio</t>
  </si>
  <si>
    <t>Registro libros</t>
  </si>
  <si>
    <t>REALISTIC</t>
  </si>
  <si>
    <t>PESIMISTIC</t>
  </si>
  <si>
    <t>ASSETS</t>
  </si>
  <si>
    <t>LIABILITIES</t>
  </si>
  <si>
    <t>Income</t>
  </si>
  <si>
    <t>Bancos</t>
  </si>
  <si>
    <t>Cuentas por pagar</t>
  </si>
  <si>
    <t>Costs</t>
  </si>
  <si>
    <t>Propiedad planta y equipo</t>
  </si>
  <si>
    <t>Impuestos</t>
  </si>
  <si>
    <t>Gross Profit</t>
  </si>
  <si>
    <t>Operational Expenses</t>
  </si>
  <si>
    <t>Total Assets</t>
  </si>
  <si>
    <t>Total Pasivo</t>
  </si>
  <si>
    <t>Operational Profit</t>
  </si>
  <si>
    <t>EQUITY</t>
  </si>
  <si>
    <t>Net Income</t>
  </si>
  <si>
    <t>Aportes Sociales</t>
  </si>
  <si>
    <t>OPTIMISTIC</t>
  </si>
  <si>
    <t>Income reduces in a 10%</t>
  </si>
  <si>
    <t>Costs and Operational Expenses increases in a 15%</t>
  </si>
  <si>
    <t>Total Equity</t>
  </si>
  <si>
    <t>Total Liabilities and Equity</t>
  </si>
  <si>
    <t>Income increases in a 5%</t>
  </si>
  <si>
    <t>Costs and Operational Expenses increases in a 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</si>
</sst>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164" formatCode="_-[$$-409]* #,##0.00_ ;_-[$$-409]* \-#,##0.00\ ;_-[$$-409]* &quot;-&quot;??_ ;_-@_ "/>
    <numFmt numFmtId="165" formatCode="_-&quot;$&quot;* #,##0.00_-;\-&quot;$&quot;* #,##0.00_-;_-&quot;$&quot;* &quot;-&quot;_-;_-@_-"/>
    <numFmt numFmtId="166" formatCode="_(&quot;$&quot;\ * #,##0.00_);_(&quot;$&quot;\ * \(#,##0.00\);_(&quot;$&quot;\ * &quot;-&quot;??_);_(@_)"/>
    <numFmt numFmtId="167" formatCode="_(&quot;$&quot;* #,##0.00_);_(&quot;$&quot;* \(#,##0.00\);_(&quot;$&quot;* &quot;-&quot;??_);_(@_)"/>
    <numFmt numFmtId="168" formatCode="_-* #,##0.00\ _€_-;\-* #,##0.00\ _€_-;_-* &quot;-&quot;??\ _€_-;_-@_-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Font="1"/>
    <xf numFmtId="0" fontId="0" fillId="0" borderId="0" xfId="0" applyFill="1"/>
    <xf numFmtId="0" fontId="4" fillId="3" borderId="0" xfId="0" applyFont="1" applyFill="1"/>
    <xf numFmtId="0" fontId="5" fillId="3" borderId="0" xfId="0" applyFont="1" applyFill="1" applyAlignment="1">
      <alignment horizontal="center"/>
    </xf>
    <xf numFmtId="0" fontId="4" fillId="0" borderId="0" xfId="0" applyFont="1"/>
    <xf numFmtId="44" fontId="0" fillId="2" borderId="0" xfId="3" applyFont="1" applyFill="1"/>
    <xf numFmtId="44" fontId="0" fillId="0" borderId="0" xfId="3" applyFont="1" applyFill="1"/>
    <xf numFmtId="44" fontId="0" fillId="0" borderId="0" xfId="0" applyNumberFormat="1"/>
    <xf numFmtId="44" fontId="0" fillId="4" borderId="0" xfId="0" applyNumberFormat="1" applyFill="1"/>
    <xf numFmtId="165" fontId="0" fillId="2" borderId="0" xfId="4" applyNumberFormat="1" applyFont="1" applyFill="1"/>
    <xf numFmtId="41" fontId="4" fillId="0" borderId="0" xfId="2" applyFont="1" applyBorder="1"/>
    <xf numFmtId="0" fontId="4" fillId="0" borderId="0" xfId="0" applyFont="1" applyBorder="1" applyAlignment="1">
      <alignment horizontal="center"/>
    </xf>
    <xf numFmtId="41" fontId="0" fillId="0" borderId="0" xfId="2" applyFont="1" applyAlignment="1">
      <alignment horizontal="center"/>
    </xf>
    <xf numFmtId="44" fontId="0" fillId="0" borderId="0" xfId="3" applyFont="1"/>
    <xf numFmtId="41" fontId="0" fillId="0" borderId="0" xfId="2" applyFont="1"/>
    <xf numFmtId="44" fontId="0" fillId="0" borderId="0" xfId="0" applyNumberFormat="1" applyFill="1"/>
    <xf numFmtId="0" fontId="0" fillId="3" borderId="0" xfId="0" applyFill="1"/>
    <xf numFmtId="44" fontId="0" fillId="2" borderId="0" xfId="0" applyNumberFormat="1" applyFill="1"/>
    <xf numFmtId="44" fontId="0" fillId="0" borderId="0" xfId="1" applyNumberFormat="1" applyFont="1"/>
    <xf numFmtId="10" fontId="0" fillId="0" borderId="0" xfId="0" applyNumberFormat="1"/>
    <xf numFmtId="9" fontId="0" fillId="0" borderId="0" xfId="1" applyFont="1"/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7" fillId="0" borderId="0" xfId="0" applyFon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164" fontId="0" fillId="0" borderId="7" xfId="0" applyNumberFormat="1" applyBorder="1"/>
    <xf numFmtId="164" fontId="0" fillId="0" borderId="8" xfId="0" applyNumberFormat="1" applyBorder="1"/>
    <xf numFmtId="0" fontId="0" fillId="0" borderId="3" xfId="0" applyBorder="1" applyAlignment="1">
      <alignment horizontal="center"/>
    </xf>
    <xf numFmtId="164" fontId="0" fillId="0" borderId="9" xfId="0" applyNumberFormat="1" applyBorder="1"/>
    <xf numFmtId="0" fontId="4" fillId="0" borderId="0" xfId="0" applyFont="1" applyFill="1"/>
    <xf numFmtId="0" fontId="4" fillId="0" borderId="8" xfId="0" applyFont="1" applyBorder="1" applyAlignment="1">
      <alignment horizontal="center"/>
    </xf>
    <xf numFmtId="0" fontId="0" fillId="0" borderId="8" xfId="0" applyBorder="1"/>
    <xf numFmtId="44" fontId="0" fillId="0" borderId="8" xfId="3" applyFont="1" applyBorder="1"/>
    <xf numFmtId="166" fontId="0" fillId="0" borderId="8" xfId="0" applyNumberFormat="1" applyBorder="1"/>
    <xf numFmtId="0" fontId="0" fillId="0" borderId="8" xfId="0" applyFill="1" applyBorder="1"/>
    <xf numFmtId="44" fontId="0" fillId="0" borderId="8" xfId="3" applyFont="1" applyFill="1" applyBorder="1"/>
    <xf numFmtId="166" fontId="9" fillId="6" borderId="8" xfId="0" applyNumberFormat="1" applyFont="1" applyFill="1" applyBorder="1"/>
    <xf numFmtId="0" fontId="0" fillId="0" borderId="0" xfId="0" applyBorder="1"/>
    <xf numFmtId="0" fontId="4" fillId="3" borderId="0" xfId="0" applyFont="1" applyFill="1" applyAlignment="1"/>
    <xf numFmtId="0" fontId="4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44" fontId="6" fillId="7" borderId="0" xfId="3" applyFont="1" applyFill="1"/>
    <xf numFmtId="44" fontId="0" fillId="7" borderId="0" xfId="3" applyFont="1" applyFill="1"/>
    <xf numFmtId="42" fontId="0" fillId="7" borderId="0" xfId="4" applyFont="1" applyFill="1"/>
    <xf numFmtId="42" fontId="0" fillId="0" borderId="0" xfId="4" applyFont="1" applyFill="1"/>
    <xf numFmtId="0" fontId="4" fillId="8" borderId="0" xfId="0" applyFont="1" applyFill="1"/>
    <xf numFmtId="44" fontId="0" fillId="8" borderId="0" xfId="3" applyFont="1" applyFill="1"/>
    <xf numFmtId="0" fontId="4" fillId="2" borderId="0" xfId="0" applyFont="1" applyFill="1"/>
    <xf numFmtId="44" fontId="0" fillId="7" borderId="0" xfId="0" applyNumberFormat="1" applyFill="1"/>
    <xf numFmtId="0" fontId="4" fillId="9" borderId="0" xfId="0" applyFont="1" applyFill="1"/>
    <xf numFmtId="44" fontId="4" fillId="9" borderId="0" xfId="3" applyFont="1" applyFill="1"/>
    <xf numFmtId="42" fontId="0" fillId="4" borderId="0" xfId="4" applyFont="1" applyFill="1"/>
    <xf numFmtId="165" fontId="10" fillId="0" borderId="0" xfId="4" applyNumberFormat="1" applyFont="1" applyFill="1" applyBorder="1" applyAlignment="1">
      <alignment vertical="center" wrapText="1"/>
    </xf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165" fontId="0" fillId="0" borderId="0" xfId="3" applyNumberFormat="1" applyFont="1" applyFill="1" applyBorder="1"/>
    <xf numFmtId="0" fontId="4" fillId="6" borderId="0" xfId="0" applyFont="1" applyFill="1" applyAlignment="1">
      <alignment horizontal="center"/>
    </xf>
    <xf numFmtId="0" fontId="4" fillId="6" borderId="0" xfId="0" applyFont="1" applyFill="1"/>
    <xf numFmtId="0" fontId="0" fillId="0" borderId="0" xfId="0" applyFill="1" applyAlignment="1">
      <alignment horizontal="center"/>
    </xf>
    <xf numFmtId="0" fontId="0" fillId="6" borderId="0" xfId="0" applyFill="1"/>
    <xf numFmtId="44" fontId="0" fillId="4" borderId="0" xfId="3" applyFont="1" applyFill="1"/>
    <xf numFmtId="0" fontId="4" fillId="3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41" fontId="4" fillId="0" borderId="0" xfId="2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4" fontId="0" fillId="10" borderId="0" xfId="0" applyNumberFormat="1" applyFill="1"/>
    <xf numFmtId="0" fontId="8" fillId="11" borderId="8" xfId="0" applyFont="1" applyFill="1" applyBorder="1" applyAlignment="1">
      <alignment horizontal="center"/>
    </xf>
    <xf numFmtId="10" fontId="9" fillId="11" borderId="8" xfId="0" applyNumberFormat="1" applyFont="1" applyFill="1" applyBorder="1"/>
    <xf numFmtId="9" fontId="9" fillId="11" borderId="8" xfId="0" applyNumberFormat="1" applyFont="1" applyFill="1" applyBorder="1"/>
    <xf numFmtId="0" fontId="5" fillId="11" borderId="8" xfId="0" applyFont="1" applyFill="1" applyBorder="1" applyAlignment="1">
      <alignment horizontal="center"/>
    </xf>
    <xf numFmtId="166" fontId="9" fillId="11" borderId="8" xfId="0" applyNumberFormat="1" applyFont="1" applyFill="1" applyBorder="1"/>
    <xf numFmtId="44" fontId="9" fillId="11" borderId="8" xfId="0" applyNumberFormat="1" applyFont="1" applyFill="1" applyBorder="1"/>
    <xf numFmtId="0" fontId="3" fillId="11" borderId="8" xfId="0" applyFont="1" applyFill="1" applyBorder="1" applyAlignment="1">
      <alignment horizontal="center"/>
    </xf>
    <xf numFmtId="9" fontId="0" fillId="11" borderId="8" xfId="0" applyNumberFormat="1" applyFill="1" applyBorder="1"/>
    <xf numFmtId="0" fontId="4" fillId="11" borderId="8" xfId="0" applyFont="1" applyFill="1" applyBorder="1" applyAlignment="1">
      <alignment horizontal="center"/>
    </xf>
    <xf numFmtId="166" fontId="0" fillId="11" borderId="8" xfId="0" applyNumberFormat="1" applyFill="1" applyBorder="1"/>
    <xf numFmtId="0" fontId="4" fillId="12" borderId="8" xfId="0" applyFont="1" applyFill="1" applyBorder="1" applyAlignment="1">
      <alignment horizontal="center"/>
    </xf>
    <xf numFmtId="166" fontId="0" fillId="12" borderId="8" xfId="0" applyNumberFormat="1" applyFill="1" applyBorder="1"/>
    <xf numFmtId="167" fontId="0" fillId="12" borderId="8" xfId="0" applyNumberFormat="1" applyFill="1" applyBorder="1"/>
    <xf numFmtId="165" fontId="0" fillId="12" borderId="8" xfId="4" applyNumberFormat="1" applyFont="1" applyFill="1" applyBorder="1"/>
    <xf numFmtId="9" fontId="0" fillId="12" borderId="8" xfId="0" applyNumberFormat="1" applyFill="1" applyBorder="1"/>
    <xf numFmtId="10" fontId="0" fillId="12" borderId="8" xfId="0" applyNumberFormat="1" applyFill="1" applyBorder="1"/>
    <xf numFmtId="167" fontId="7" fillId="0" borderId="8" xfId="0" applyNumberFormat="1" applyFont="1" applyBorder="1"/>
    <xf numFmtId="167" fontId="7" fillId="0" borderId="8" xfId="0" applyNumberFormat="1" applyFont="1" applyFill="1" applyBorder="1"/>
    <xf numFmtId="168" fontId="7" fillId="0" borderId="8" xfId="0" applyNumberFormat="1" applyFont="1" applyBorder="1"/>
    <xf numFmtId="166" fontId="7" fillId="0" borderId="8" xfId="0" applyNumberFormat="1" applyFont="1" applyBorder="1"/>
  </cellXfs>
  <cellStyles count="5">
    <cellStyle name="Millares [0]" xfId="2" builtinId="6"/>
    <cellStyle name="Moneda" xfId="3" builtinId="4"/>
    <cellStyle name="Moneda [0]" xfId="4" builtinId="7"/>
    <cellStyle name="Normal" xfId="0" builtinId="0"/>
    <cellStyle name="Porcentaje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externalLink" Target="externalLinks/externalLink1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s-esilva/Downloads/BALANCE%20-%20DIRECCIONA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AND EARNINGS"/>
      <sheetName val="WAGES AND BENEFITS"/>
      <sheetName val="COSTOS Y GASTOS"/>
      <sheetName val="BALANCE GENERAL Y P&amp;G"/>
    </sheetNames>
    <sheetDataSet>
      <sheetData sheetId="0">
        <row r="33">
          <cell r="J33">
            <v>60500000</v>
          </cell>
        </row>
        <row r="34">
          <cell r="E34">
            <v>43240000</v>
          </cell>
        </row>
        <row r="36">
          <cell r="E36">
            <v>53394211.950000003</v>
          </cell>
        </row>
      </sheetData>
      <sheetData sheetId="1">
        <row r="20">
          <cell r="F20">
            <v>5500000</v>
          </cell>
        </row>
        <row r="22">
          <cell r="F22">
            <v>17600000</v>
          </cell>
        </row>
      </sheetData>
      <sheetData sheetId="2">
        <row r="2">
          <cell r="F2"/>
        </row>
        <row r="4">
          <cell r="C4">
            <v>17000000</v>
          </cell>
          <cell r="F4">
            <v>389900</v>
          </cell>
        </row>
        <row r="5">
          <cell r="F5">
            <v>79000</v>
          </cell>
        </row>
        <row r="7">
          <cell r="C7">
            <v>556000</v>
          </cell>
        </row>
        <row r="9">
          <cell r="I9">
            <v>5275330</v>
          </cell>
        </row>
        <row r="11">
          <cell r="C11">
            <v>1699000</v>
          </cell>
        </row>
        <row r="14">
          <cell r="C14">
            <v>45788.05</v>
          </cell>
        </row>
        <row r="15">
          <cell r="C15">
            <v>549456.60000000009</v>
          </cell>
        </row>
        <row r="17">
          <cell r="F17">
            <v>3200000</v>
          </cell>
        </row>
        <row r="19">
          <cell r="C19">
            <v>18720000</v>
          </cell>
        </row>
        <row r="20">
          <cell r="C20">
            <v>1560000</v>
          </cell>
        </row>
        <row r="22">
          <cell r="C22"/>
        </row>
        <row r="23">
          <cell r="C23"/>
        </row>
        <row r="25">
          <cell r="C25"/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topLeftCell="A7" workbookViewId="0">
      <selection activeCell="H16" sqref="H16"/>
    </sheetView>
  </sheetViews>
  <sheetFormatPr baseColWidth="10" defaultColWidth="11.5" defaultRowHeight="16" customHeight="1" x14ac:dyDescent="0.2"/>
  <cols>
    <col min="2" max="2" width="21" customWidth="1"/>
    <col min="3" max="3" width="18.6640625" customWidth="1"/>
    <col min="4" max="4" width="10.83203125" customWidth="1"/>
    <col min="5" max="5" width="16.33203125" bestFit="1" customWidth="1"/>
    <col min="6" max="6" width="18.5" customWidth="1"/>
    <col min="7" max="7" width="16" customWidth="1"/>
    <col min="8" max="8" width="19.5" customWidth="1"/>
    <col min="9" max="9" width="13.1640625" customWidth="1"/>
    <col min="10" max="10" width="15.1640625" bestFit="1" customWidth="1"/>
  </cols>
  <sheetData>
    <row r="2" spans="2:10" x14ac:dyDescent="0.2">
      <c r="B2" s="3" t="s">
        <v>2</v>
      </c>
      <c r="F2" s="4" t="s">
        <v>3</v>
      </c>
    </row>
    <row r="3" spans="2:10" x14ac:dyDescent="0.2">
      <c r="B3" s="5" t="s">
        <v>4</v>
      </c>
      <c r="C3" s="6">
        <v>30000</v>
      </c>
      <c r="D3" s="7"/>
      <c r="F3" t="s">
        <v>5</v>
      </c>
      <c r="G3" s="8">
        <f>C3*5%</f>
        <v>1500</v>
      </c>
      <c r="H3" s="75">
        <f>C3-G3</f>
        <v>28500</v>
      </c>
      <c r="I3" s="75"/>
      <c r="J3" t="s">
        <v>6</v>
      </c>
    </row>
    <row r="4" spans="2:10" x14ac:dyDescent="0.2">
      <c r="B4" s="5" t="s">
        <v>7</v>
      </c>
      <c r="C4" s="6">
        <v>40000</v>
      </c>
      <c r="D4" s="7"/>
      <c r="F4" t="s">
        <v>8</v>
      </c>
      <c r="G4" s="8">
        <f>C3*15%</f>
        <v>4500</v>
      </c>
      <c r="H4" s="75">
        <f>C3-G4</f>
        <v>25500</v>
      </c>
      <c r="I4" s="75"/>
      <c r="J4" t="s">
        <v>6</v>
      </c>
    </row>
    <row r="5" spans="2:10" x14ac:dyDescent="0.2">
      <c r="B5" s="5" t="s">
        <v>9</v>
      </c>
      <c r="C5" s="6">
        <v>15000</v>
      </c>
      <c r="D5" s="7"/>
      <c r="H5" s="2"/>
      <c r="I5" s="2"/>
    </row>
    <row r="6" spans="2:10" x14ac:dyDescent="0.2">
      <c r="B6" s="5" t="s">
        <v>10</v>
      </c>
      <c r="C6" s="10">
        <v>20000</v>
      </c>
      <c r="D6" s="2"/>
      <c r="F6" t="s">
        <v>11</v>
      </c>
      <c r="G6" s="8">
        <f>C4*5%</f>
        <v>2000</v>
      </c>
      <c r="H6" s="75">
        <f>C4-G6</f>
        <v>38000</v>
      </c>
      <c r="I6" s="75"/>
      <c r="J6" t="s">
        <v>6</v>
      </c>
    </row>
    <row r="7" spans="2:10" x14ac:dyDescent="0.2">
      <c r="B7" s="5" t="s">
        <v>12</v>
      </c>
      <c r="C7" s="6"/>
      <c r="D7" s="7"/>
      <c r="F7" t="s">
        <v>13</v>
      </c>
      <c r="G7" s="8">
        <f>C4*15%</f>
        <v>6000</v>
      </c>
      <c r="H7" s="75">
        <f>C4-G7</f>
        <v>34000</v>
      </c>
      <c r="I7" s="75"/>
      <c r="J7" t="s">
        <v>6</v>
      </c>
    </row>
    <row r="8" spans="2:10" x14ac:dyDescent="0.2">
      <c r="B8" s="5" t="s">
        <v>14</v>
      </c>
      <c r="C8" s="6">
        <v>18000</v>
      </c>
      <c r="D8" s="7"/>
    </row>
    <row r="9" spans="2:10" x14ac:dyDescent="0.2">
      <c r="B9" s="5" t="s">
        <v>15</v>
      </c>
      <c r="C9" s="6">
        <v>10000</v>
      </c>
    </row>
    <row r="10" spans="2:10" x14ac:dyDescent="0.2">
      <c r="B10" s="5" t="s">
        <v>16</v>
      </c>
      <c r="C10" s="6">
        <v>8000</v>
      </c>
    </row>
    <row r="11" spans="2:10" x14ac:dyDescent="0.2">
      <c r="B11" s="5" t="s">
        <v>17</v>
      </c>
      <c r="C11" s="6">
        <v>10000</v>
      </c>
      <c r="D11" s="7"/>
    </row>
    <row r="12" spans="2:10" x14ac:dyDescent="0.2">
      <c r="B12" s="5" t="s">
        <v>18</v>
      </c>
      <c r="C12" s="6">
        <v>20000</v>
      </c>
      <c r="D12" s="7"/>
    </row>
    <row r="13" spans="2:10" x14ac:dyDescent="0.2">
      <c r="B13" s="5" t="s">
        <v>19</v>
      </c>
      <c r="C13" s="6">
        <v>50000</v>
      </c>
      <c r="D13" s="2"/>
    </row>
    <row r="14" spans="2:10" x14ac:dyDescent="0.2">
      <c r="B14" s="5" t="s">
        <v>20</v>
      </c>
      <c r="C14" s="6">
        <v>25000</v>
      </c>
    </row>
    <row r="15" spans="2:10" x14ac:dyDescent="0.2">
      <c r="B15" s="5" t="s">
        <v>21</v>
      </c>
      <c r="C15" s="6">
        <v>35000</v>
      </c>
    </row>
    <row r="16" spans="2:10" x14ac:dyDescent="0.2">
      <c r="C16" s="7"/>
    </row>
    <row r="17" spans="2:11" ht="16" customHeight="1" x14ac:dyDescent="0.2">
      <c r="B17" s="63" t="s">
        <v>22</v>
      </c>
      <c r="C17" s="63"/>
      <c r="D17" s="63"/>
      <c r="E17" s="63"/>
      <c r="G17" s="64" t="s">
        <v>23</v>
      </c>
      <c r="H17" s="64"/>
      <c r="I17" s="64"/>
      <c r="J17" s="64"/>
      <c r="K17" s="64"/>
    </row>
    <row r="18" spans="2:11" ht="16" customHeight="1" x14ac:dyDescent="0.2">
      <c r="D18" s="65" t="s">
        <v>24</v>
      </c>
      <c r="E18" s="65"/>
      <c r="I18" s="65" t="s">
        <v>24</v>
      </c>
      <c r="J18" s="65"/>
    </row>
    <row r="19" spans="2:11" ht="16" customHeight="1" x14ac:dyDescent="0.2">
      <c r="D19" s="11" t="s">
        <v>25</v>
      </c>
      <c r="E19" s="12" t="s">
        <v>26</v>
      </c>
      <c r="I19" s="11" t="s">
        <v>25</v>
      </c>
      <c r="J19" s="12" t="s">
        <v>26</v>
      </c>
    </row>
    <row r="20" spans="2:11" ht="16" customHeight="1" x14ac:dyDescent="0.2">
      <c r="B20" s="5" t="s">
        <v>4</v>
      </c>
      <c r="C20" s="6">
        <v>30000</v>
      </c>
      <c r="D20" s="13">
        <v>200</v>
      </c>
      <c r="E20" s="8">
        <f>+C20*D20</f>
        <v>6000000</v>
      </c>
      <c r="G20" t="s">
        <v>27</v>
      </c>
      <c r="H20" s="14">
        <f>C20+C21+C22+C31+C32</f>
        <v>145000</v>
      </c>
      <c r="I20" s="15">
        <v>300</v>
      </c>
      <c r="J20" s="8">
        <f>+H20*I20</f>
        <v>43500000</v>
      </c>
    </row>
    <row r="21" spans="2:11" ht="16" customHeight="1" x14ac:dyDescent="0.2">
      <c r="B21" s="5" t="s">
        <v>7</v>
      </c>
      <c r="C21" s="6">
        <v>40000</v>
      </c>
      <c r="D21" s="15">
        <v>125</v>
      </c>
      <c r="E21" s="8">
        <f>+C21*D21</f>
        <v>5000000</v>
      </c>
      <c r="G21" t="s">
        <v>28</v>
      </c>
      <c r="H21" s="14">
        <f>C23+C25+C26+C27+C28+C29+C30</f>
        <v>136000</v>
      </c>
      <c r="I21" s="15">
        <v>125</v>
      </c>
      <c r="J21" s="8">
        <f>+H21*I21</f>
        <v>17000000</v>
      </c>
    </row>
    <row r="22" spans="2:11" ht="16" customHeight="1" x14ac:dyDescent="0.2">
      <c r="B22" s="5" t="s">
        <v>9</v>
      </c>
      <c r="C22" s="6">
        <v>15000</v>
      </c>
      <c r="D22" s="15">
        <v>300</v>
      </c>
      <c r="E22" s="8">
        <f t="shared" ref="E22:E32" si="0">+C22*D22</f>
        <v>4500000</v>
      </c>
      <c r="H22" s="14"/>
      <c r="I22" s="15"/>
      <c r="J22" s="8">
        <f>J20+J21</f>
        <v>60500000</v>
      </c>
    </row>
    <row r="23" spans="2:11" ht="16" customHeight="1" x14ac:dyDescent="0.2">
      <c r="B23" s="5" t="s">
        <v>10</v>
      </c>
      <c r="C23" s="10">
        <v>20000</v>
      </c>
      <c r="D23" s="15">
        <v>200</v>
      </c>
      <c r="E23" s="8">
        <f t="shared" si="0"/>
        <v>4000000</v>
      </c>
      <c r="G23" s="3"/>
      <c r="I23" s="15"/>
    </row>
    <row r="24" spans="2:11" ht="16" customHeight="1" x14ac:dyDescent="0.2">
      <c r="B24" s="5" t="s">
        <v>12</v>
      </c>
      <c r="C24" s="6"/>
      <c r="D24" s="15"/>
      <c r="E24" s="8"/>
      <c r="H24" s="14"/>
      <c r="I24" s="15"/>
      <c r="J24" s="8"/>
    </row>
    <row r="25" spans="2:11" ht="16" customHeight="1" x14ac:dyDescent="0.2">
      <c r="B25" s="5" t="s">
        <v>14</v>
      </c>
      <c r="C25" s="6">
        <v>18000</v>
      </c>
      <c r="D25" s="15">
        <v>125</v>
      </c>
      <c r="E25" s="8">
        <f t="shared" si="0"/>
        <v>2250000</v>
      </c>
      <c r="H25" s="14"/>
      <c r="I25" s="15"/>
      <c r="J25" s="8"/>
    </row>
    <row r="26" spans="2:11" ht="16" customHeight="1" x14ac:dyDescent="0.2">
      <c r="B26" s="5" t="s">
        <v>15</v>
      </c>
      <c r="C26" s="6">
        <v>10000</v>
      </c>
      <c r="D26" s="15">
        <v>125</v>
      </c>
      <c r="E26" s="8">
        <f t="shared" si="0"/>
        <v>1250000</v>
      </c>
      <c r="I26" s="15"/>
      <c r="J26" s="8"/>
    </row>
    <row r="27" spans="2:11" ht="16" customHeight="1" x14ac:dyDescent="0.2">
      <c r="B27" s="5" t="s">
        <v>16</v>
      </c>
      <c r="C27" s="6">
        <v>8000</v>
      </c>
      <c r="D27" s="15">
        <v>75</v>
      </c>
      <c r="E27" s="8">
        <f t="shared" si="0"/>
        <v>600000</v>
      </c>
      <c r="I27" s="15"/>
    </row>
    <row r="28" spans="2:11" ht="16" customHeight="1" x14ac:dyDescent="0.2">
      <c r="B28" s="5" t="s">
        <v>17</v>
      </c>
      <c r="C28" s="6">
        <v>10000</v>
      </c>
      <c r="D28" s="15">
        <v>75</v>
      </c>
      <c r="E28" s="8">
        <f t="shared" si="0"/>
        <v>750000</v>
      </c>
      <c r="H28" s="14"/>
      <c r="I28" s="15"/>
      <c r="J28" s="8"/>
    </row>
    <row r="29" spans="2:11" ht="16" customHeight="1" x14ac:dyDescent="0.2">
      <c r="B29" s="5" t="s">
        <v>18</v>
      </c>
      <c r="C29" s="6">
        <v>20000</v>
      </c>
      <c r="D29" s="15">
        <v>125</v>
      </c>
      <c r="E29" s="8">
        <f t="shared" si="0"/>
        <v>2500000</v>
      </c>
      <c r="H29" s="14"/>
      <c r="I29" s="15"/>
      <c r="J29" s="8"/>
    </row>
    <row r="30" spans="2:11" ht="16" customHeight="1" x14ac:dyDescent="0.2">
      <c r="B30" s="5" t="s">
        <v>19</v>
      </c>
      <c r="C30" s="6">
        <v>50000</v>
      </c>
      <c r="D30" s="15">
        <v>200</v>
      </c>
      <c r="E30" s="8">
        <f t="shared" si="0"/>
        <v>10000000</v>
      </c>
      <c r="J30" s="8"/>
    </row>
    <row r="31" spans="2:11" ht="16" customHeight="1" x14ac:dyDescent="0.2">
      <c r="B31" s="5" t="s">
        <v>20</v>
      </c>
      <c r="C31" s="6">
        <v>25000</v>
      </c>
      <c r="D31" s="15">
        <v>250</v>
      </c>
      <c r="E31" s="8">
        <f t="shared" si="0"/>
        <v>6250000</v>
      </c>
    </row>
    <row r="32" spans="2:11" ht="16" customHeight="1" x14ac:dyDescent="0.2">
      <c r="B32" s="5" t="s">
        <v>21</v>
      </c>
      <c r="C32" s="6">
        <v>35000</v>
      </c>
      <c r="D32" s="15">
        <v>4</v>
      </c>
      <c r="E32" s="8">
        <f t="shared" si="0"/>
        <v>140000</v>
      </c>
    </row>
    <row r="33" spans="2:10" ht="16" customHeight="1" x14ac:dyDescent="0.2">
      <c r="D33" s="15"/>
      <c r="E33" s="16"/>
      <c r="H33" t="s">
        <v>29</v>
      </c>
      <c r="J33" s="9">
        <f>J22+J26+J30</f>
        <v>60500000</v>
      </c>
    </row>
    <row r="34" spans="2:10" ht="16" customHeight="1" x14ac:dyDescent="0.2">
      <c r="B34" s="3" t="s">
        <v>22</v>
      </c>
      <c r="C34" s="17"/>
      <c r="D34" s="17"/>
      <c r="E34" s="18">
        <f>SUM(E20:E32)</f>
        <v>43240000</v>
      </c>
      <c r="G34" s="8"/>
    </row>
    <row r="36" spans="2:10" ht="16" customHeight="1" x14ac:dyDescent="0.2">
      <c r="E36" s="8">
        <f>'[1]PRICES AND EARNINGS'!J33-'[1]WAGES AND BENEFITS'!F20-'[1]COSTOS Y GASTOS'!C14-'[1]COSTOS Y GASTOS'!C20-'[1]COSTOS Y GASTOS'!C23-'[1]COSTOS Y GASTOS'!C25</f>
        <v>53394211.950000003</v>
      </c>
      <c r="F36" s="8"/>
      <c r="G36" s="19"/>
      <c r="H36" s="20"/>
      <c r="J36" s="8"/>
    </row>
    <row r="37" spans="2:10" ht="16" customHeight="1" x14ac:dyDescent="0.2">
      <c r="F37" s="8"/>
      <c r="G37" s="8"/>
      <c r="I37" s="21"/>
      <c r="J37" s="8"/>
    </row>
    <row r="38" spans="2:10" ht="16" customHeight="1" x14ac:dyDescent="0.2">
      <c r="F38" s="15"/>
    </row>
    <row r="39" spans="2:10" ht="16" customHeight="1" x14ac:dyDescent="0.2">
      <c r="H39" s="21"/>
    </row>
  </sheetData>
  <mergeCells count="4">
    <mergeCell ref="B17:E17"/>
    <mergeCell ref="G17:K17"/>
    <mergeCell ref="D18:E18"/>
    <mergeCell ref="I18:J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2"/>
  <sheetViews>
    <sheetView tabSelected="1" workbookViewId="0">
      <selection activeCell="H26" sqref="H26"/>
    </sheetView>
  </sheetViews>
  <sheetFormatPr baseColWidth="10" defaultColWidth="11.5" defaultRowHeight="16" x14ac:dyDescent="0.2"/>
  <cols>
    <col min="2" max="2" width="13.83203125" customWidth="1"/>
    <col min="3" max="3" width="15.33203125" customWidth="1"/>
    <col min="4" max="4" width="14.1640625" bestFit="1" customWidth="1"/>
    <col min="5" max="5" width="17.5" customWidth="1"/>
    <col min="6" max="6" width="16.83203125" bestFit="1" customWidth="1"/>
    <col min="7" max="7" width="14.5" bestFit="1" customWidth="1"/>
    <col min="8" max="8" width="18.6640625" customWidth="1"/>
    <col min="9" max="10" width="17" customWidth="1"/>
    <col min="11" max="11" width="14.1640625" customWidth="1"/>
    <col min="12" max="12" width="16.83203125" customWidth="1"/>
    <col min="13" max="14" width="14.83203125" customWidth="1"/>
    <col min="15" max="15" width="13.5" customWidth="1"/>
    <col min="16" max="16" width="14.33203125" customWidth="1"/>
  </cols>
  <sheetData>
    <row r="1" spans="2:16" ht="17" thickBot="1" x14ac:dyDescent="0.25"/>
    <row r="2" spans="2:16" x14ac:dyDescent="0.2">
      <c r="B2" s="69" t="s">
        <v>30</v>
      </c>
      <c r="C2" s="70"/>
      <c r="D2" s="22" t="s">
        <v>31</v>
      </c>
      <c r="E2" s="23" t="s">
        <v>32</v>
      </c>
      <c r="G2" s="24"/>
      <c r="H2" s="25"/>
      <c r="I2" s="25"/>
      <c r="J2" s="25"/>
      <c r="K2" s="25"/>
      <c r="L2" s="25"/>
    </row>
    <row r="3" spans="2:16" x14ac:dyDescent="0.2">
      <c r="B3" s="71" t="s">
        <v>1</v>
      </c>
      <c r="C3" s="72"/>
      <c r="D3" s="26">
        <v>1</v>
      </c>
      <c r="E3" s="27">
        <v>2500000</v>
      </c>
    </row>
    <row r="4" spans="2:16" x14ac:dyDescent="0.2">
      <c r="B4" s="71" t="s">
        <v>33</v>
      </c>
      <c r="C4" s="72"/>
      <c r="D4" s="26">
        <v>1</v>
      </c>
      <c r="E4" s="28">
        <v>1500000</v>
      </c>
    </row>
    <row r="5" spans="2:16" x14ac:dyDescent="0.2">
      <c r="B5" s="71" t="s">
        <v>34</v>
      </c>
      <c r="C5" s="72"/>
      <c r="D5" s="26">
        <v>1</v>
      </c>
      <c r="E5" s="28">
        <v>1500000</v>
      </c>
    </row>
    <row r="6" spans="2:16" x14ac:dyDescent="0.2">
      <c r="B6" s="71" t="s">
        <v>35</v>
      </c>
      <c r="C6" s="72"/>
      <c r="D6" s="26">
        <v>1</v>
      </c>
      <c r="E6" s="28">
        <v>1000000</v>
      </c>
    </row>
    <row r="7" spans="2:16" ht="17" thickBot="1" x14ac:dyDescent="0.25">
      <c r="B7" s="73" t="s">
        <v>36</v>
      </c>
      <c r="C7" s="74"/>
      <c r="D7" s="29">
        <v>1</v>
      </c>
      <c r="E7" s="30">
        <v>1000000</v>
      </c>
    </row>
    <row r="8" spans="2:16" x14ac:dyDescent="0.2">
      <c r="B8" s="31"/>
      <c r="C8" s="31"/>
      <c r="D8" s="2"/>
      <c r="E8" s="7"/>
    </row>
    <row r="9" spans="2:16" x14ac:dyDescent="0.2">
      <c r="C9" s="2"/>
      <c r="D9" s="31"/>
      <c r="E9" s="16"/>
    </row>
    <row r="10" spans="2:16" x14ac:dyDescent="0.2">
      <c r="C10" s="2"/>
      <c r="D10" s="31"/>
      <c r="E10" s="16"/>
    </row>
    <row r="12" spans="2:16" x14ac:dyDescent="0.2">
      <c r="B12" s="66" t="s">
        <v>37</v>
      </c>
      <c r="C12" s="66"/>
      <c r="H12" s="76" t="s">
        <v>38</v>
      </c>
      <c r="I12" s="76"/>
      <c r="J12" s="76"/>
      <c r="K12" s="76"/>
      <c r="L12" s="67" t="s">
        <v>39</v>
      </c>
      <c r="M12" s="67"/>
      <c r="N12" s="67"/>
      <c r="O12" s="82" t="s">
        <v>40</v>
      </c>
      <c r="P12" s="82"/>
    </row>
    <row r="13" spans="2:16" x14ac:dyDescent="0.2">
      <c r="B13" s="68" t="s">
        <v>41</v>
      </c>
      <c r="C13" s="68"/>
      <c r="G13">
        <v>72000</v>
      </c>
      <c r="H13" s="77">
        <v>8.3299999999999999E-2</v>
      </c>
      <c r="I13" s="78">
        <v>0.01</v>
      </c>
      <c r="J13" s="77">
        <v>4.1700000000000001E-2</v>
      </c>
      <c r="K13" s="77">
        <v>8.3299999999999999E-2</v>
      </c>
      <c r="L13" s="90">
        <v>0.12</v>
      </c>
      <c r="M13" s="91">
        <v>0.01</v>
      </c>
      <c r="N13" s="90">
        <v>0.04</v>
      </c>
      <c r="O13" s="83">
        <v>0.04</v>
      </c>
      <c r="P13" s="83">
        <v>0.04</v>
      </c>
    </row>
    <row r="14" spans="2:16" x14ac:dyDescent="0.2">
      <c r="B14" s="32" t="s">
        <v>42</v>
      </c>
      <c r="C14" s="32" t="s">
        <v>43</v>
      </c>
      <c r="D14" s="32" t="s">
        <v>44</v>
      </c>
      <c r="E14" s="32" t="s">
        <v>45</v>
      </c>
      <c r="F14" s="32" t="s">
        <v>46</v>
      </c>
      <c r="G14" s="32" t="s">
        <v>47</v>
      </c>
      <c r="H14" s="79" t="s">
        <v>48</v>
      </c>
      <c r="I14" s="79" t="s">
        <v>49</v>
      </c>
      <c r="J14" s="79" t="s">
        <v>50</v>
      </c>
      <c r="K14" s="79" t="s">
        <v>51</v>
      </c>
      <c r="L14" s="86" t="s">
        <v>52</v>
      </c>
      <c r="M14" s="86" t="s">
        <v>53</v>
      </c>
      <c r="N14" s="86" t="s">
        <v>54</v>
      </c>
      <c r="O14" s="84" t="s">
        <v>55</v>
      </c>
      <c r="P14" s="84" t="s">
        <v>56</v>
      </c>
    </row>
    <row r="15" spans="2:16" x14ac:dyDescent="0.2">
      <c r="B15" s="33" t="s">
        <v>57</v>
      </c>
      <c r="C15" s="34">
        <f>+E7</f>
        <v>1000000</v>
      </c>
      <c r="D15" s="33">
        <v>22</v>
      </c>
      <c r="E15" s="35">
        <f>+C15/30</f>
        <v>33333.333333333336</v>
      </c>
      <c r="F15" s="35">
        <f>E15*D15</f>
        <v>733333.33333333337</v>
      </c>
      <c r="G15" s="35">
        <f>+G13</f>
        <v>72000</v>
      </c>
      <c r="H15" s="80">
        <f>F15*H13</f>
        <v>61086.666666666672</v>
      </c>
      <c r="I15" s="80">
        <f>F15*I13</f>
        <v>7333.3333333333339</v>
      </c>
      <c r="J15" s="80">
        <f>F15*J13</f>
        <v>30580.000000000004</v>
      </c>
      <c r="K15" s="80">
        <f>F15*K13</f>
        <v>61086.666666666672</v>
      </c>
      <c r="L15" s="87">
        <f>+C15*$L$13</f>
        <v>120000</v>
      </c>
      <c r="M15" s="88">
        <f>+C15*$M$13</f>
        <v>10000</v>
      </c>
      <c r="N15" s="89">
        <f>+C15*$N$13</f>
        <v>40000</v>
      </c>
      <c r="O15" s="85">
        <f>+C15*$O$13</f>
        <v>40000</v>
      </c>
      <c r="P15" s="85">
        <f>+C15*$P$13</f>
        <v>40000</v>
      </c>
    </row>
    <row r="16" spans="2:16" x14ac:dyDescent="0.2">
      <c r="B16" s="33" t="s">
        <v>57</v>
      </c>
      <c r="C16" s="34">
        <f>+E6</f>
        <v>1000000</v>
      </c>
      <c r="D16" s="33">
        <v>22</v>
      </c>
      <c r="E16" s="35">
        <f t="shared" ref="E16:E17" si="0">+C16/30</f>
        <v>33333.333333333336</v>
      </c>
      <c r="F16" s="35">
        <f>D16*E16</f>
        <v>733333.33333333337</v>
      </c>
      <c r="G16" s="35">
        <f>+G13</f>
        <v>72000</v>
      </c>
      <c r="H16" s="80">
        <f>F16*H13</f>
        <v>61086.666666666672</v>
      </c>
      <c r="I16" s="80">
        <f>F16*I13</f>
        <v>7333.3333333333339</v>
      </c>
      <c r="J16" s="80">
        <f>F16*J13</f>
        <v>30580.000000000004</v>
      </c>
      <c r="K16" s="80">
        <f>F16*K13</f>
        <v>61086.666666666672</v>
      </c>
      <c r="L16" s="87">
        <f>+C16*$L$13</f>
        <v>120000</v>
      </c>
      <c r="M16" s="88">
        <f>+C16*$M$13</f>
        <v>10000</v>
      </c>
      <c r="N16" s="89">
        <f>+C16*$N$13</f>
        <v>40000</v>
      </c>
      <c r="O16" s="85">
        <f>+C16*$O$13</f>
        <v>40000</v>
      </c>
      <c r="P16" s="85">
        <f>+C16*$P$13</f>
        <v>40000</v>
      </c>
    </row>
    <row r="17" spans="2:16" x14ac:dyDescent="0.2">
      <c r="B17" s="33" t="s">
        <v>34</v>
      </c>
      <c r="C17" s="34">
        <f>+E5</f>
        <v>1500000</v>
      </c>
      <c r="D17" s="33">
        <v>22</v>
      </c>
      <c r="E17" s="35">
        <f t="shared" si="0"/>
        <v>50000</v>
      </c>
      <c r="F17" s="35">
        <f>D17*E17</f>
        <v>1100000</v>
      </c>
      <c r="G17" s="35"/>
      <c r="H17" s="80">
        <f>F17*H13</f>
        <v>91630</v>
      </c>
      <c r="I17" s="80">
        <f>F17*I13</f>
        <v>11000</v>
      </c>
      <c r="J17" s="80">
        <f>F17*J13</f>
        <v>45870</v>
      </c>
      <c r="K17" s="80">
        <f>F17*K13</f>
        <v>91630</v>
      </c>
      <c r="L17" s="87">
        <f>+C17*$L$13</f>
        <v>180000</v>
      </c>
      <c r="M17" s="88">
        <f>+C17*$M$13</f>
        <v>15000</v>
      </c>
      <c r="N17" s="89">
        <f>+C17*$N$13</f>
        <v>60000</v>
      </c>
      <c r="O17" s="85">
        <f>+C17*$O$13</f>
        <v>60000</v>
      </c>
      <c r="P17" s="85">
        <f>+C17*$P$13</f>
        <v>60000</v>
      </c>
    </row>
    <row r="18" spans="2:16" x14ac:dyDescent="0.2">
      <c r="B18" s="33" t="s">
        <v>58</v>
      </c>
      <c r="C18" s="34">
        <f>+E4</f>
        <v>1500000</v>
      </c>
      <c r="D18" s="33">
        <v>22</v>
      </c>
      <c r="E18" s="35">
        <f>C18/30</f>
        <v>50000</v>
      </c>
      <c r="F18" s="35">
        <f>D18*E18</f>
        <v>1100000</v>
      </c>
      <c r="G18" s="35"/>
      <c r="H18" s="80">
        <f>F18*H13</f>
        <v>91630</v>
      </c>
      <c r="I18" s="80">
        <f>F18*I13</f>
        <v>11000</v>
      </c>
      <c r="J18" s="81">
        <f>F18*J13</f>
        <v>45870</v>
      </c>
      <c r="K18" s="80">
        <f>F18*K13</f>
        <v>91630</v>
      </c>
      <c r="L18" s="87">
        <f>C18*L13</f>
        <v>180000</v>
      </c>
      <c r="M18" s="88">
        <f>C18*M13</f>
        <v>15000</v>
      </c>
      <c r="N18" s="89">
        <f>C18*N13</f>
        <v>60000</v>
      </c>
      <c r="O18" s="85">
        <f>C18*N13</f>
        <v>60000</v>
      </c>
      <c r="P18" s="85">
        <f>C17*P13</f>
        <v>60000</v>
      </c>
    </row>
    <row r="19" spans="2:16" x14ac:dyDescent="0.2">
      <c r="B19" s="36" t="s">
        <v>1</v>
      </c>
      <c r="C19" s="37">
        <f>+E3</f>
        <v>2500000</v>
      </c>
      <c r="D19" s="36">
        <v>22</v>
      </c>
      <c r="E19" s="35">
        <f>+C19/30</f>
        <v>83333.333333333328</v>
      </c>
      <c r="F19" s="38">
        <f>E19*D19</f>
        <v>1833333.3333333333</v>
      </c>
      <c r="G19" s="38"/>
      <c r="H19" s="80">
        <f>F19*H13</f>
        <v>152716.66666666666</v>
      </c>
      <c r="I19" s="80">
        <f>F19*I13</f>
        <v>18333.333333333332</v>
      </c>
      <c r="J19" s="80">
        <f>F19*J13</f>
        <v>76450</v>
      </c>
      <c r="K19" s="80">
        <f>F19*K13</f>
        <v>152716.66666666666</v>
      </c>
      <c r="L19" s="87">
        <f>+C19*$L$13</f>
        <v>300000</v>
      </c>
      <c r="M19" s="88">
        <f>+C19*$M$13</f>
        <v>25000</v>
      </c>
      <c r="N19" s="89">
        <f>+C19*$N$13</f>
        <v>100000</v>
      </c>
      <c r="O19" s="85">
        <f>+C19*$O$13</f>
        <v>100000</v>
      </c>
      <c r="P19" s="85">
        <f>+C19*$P$13</f>
        <v>100000</v>
      </c>
    </row>
    <row r="20" spans="2:16" x14ac:dyDescent="0.2">
      <c r="B20" s="39"/>
      <c r="C20" s="39"/>
      <c r="D20" s="39"/>
      <c r="E20" s="39"/>
      <c r="F20" s="92">
        <f>SUM(F15:F19)</f>
        <v>5500000</v>
      </c>
      <c r="G20" s="92">
        <f>SUM(G15:G19)</f>
        <v>144000</v>
      </c>
      <c r="H20" s="92">
        <f t="shared" ref="H20:K20" si="1">SUM(H15:H19)</f>
        <v>458150</v>
      </c>
      <c r="I20" s="92">
        <f t="shared" si="1"/>
        <v>55000</v>
      </c>
      <c r="J20" s="92">
        <f t="shared" si="1"/>
        <v>229350</v>
      </c>
      <c r="K20" s="92">
        <f t="shared" si="1"/>
        <v>458150</v>
      </c>
      <c r="L20" s="92">
        <f>SUM(L15:L19)</f>
        <v>900000</v>
      </c>
      <c r="M20" s="93">
        <f>SUM(M15:M19)</f>
        <v>75000</v>
      </c>
      <c r="N20" s="94">
        <f>SUM(N15:N19)</f>
        <v>300000</v>
      </c>
      <c r="O20" s="95">
        <f>SUM(O15:O19)</f>
        <v>300000</v>
      </c>
      <c r="P20" s="95">
        <f>SUM(P15:P19)</f>
        <v>300000</v>
      </c>
    </row>
    <row r="21" spans="2:16" x14ac:dyDescent="0.2">
      <c r="F21" s="8">
        <f>F20*12+2200000</f>
        <v>68200000</v>
      </c>
    </row>
    <row r="22" spans="2:16" x14ac:dyDescent="0.2">
      <c r="F22" s="8">
        <f>F15*24</f>
        <v>17600000</v>
      </c>
    </row>
  </sheetData>
  <mergeCells count="11">
    <mergeCell ref="B7:C7"/>
    <mergeCell ref="B2:C2"/>
    <mergeCell ref="B3:C3"/>
    <mergeCell ref="B4:C4"/>
    <mergeCell ref="B5:C5"/>
    <mergeCell ref="B6:C6"/>
    <mergeCell ref="B12:C12"/>
    <mergeCell ref="H12:K12"/>
    <mergeCell ref="L12:N12"/>
    <mergeCell ref="O12:P12"/>
    <mergeCell ref="B13:C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workbookViewId="0">
      <selection sqref="A1:XFD1048576"/>
    </sheetView>
  </sheetViews>
  <sheetFormatPr baseColWidth="10" defaultColWidth="11.5" defaultRowHeight="16" x14ac:dyDescent="0.2"/>
  <cols>
    <col min="2" max="2" width="35.1640625" bestFit="1" customWidth="1"/>
    <col min="3" max="3" width="16.33203125" bestFit="1" customWidth="1"/>
    <col min="4" max="4" width="15.83203125" customWidth="1"/>
    <col min="5" max="5" width="32.1640625" customWidth="1"/>
    <col min="6" max="6" width="44.33203125" customWidth="1"/>
    <col min="8" max="8" width="23" bestFit="1" customWidth="1"/>
    <col min="9" max="9" width="15.1640625" bestFit="1" customWidth="1"/>
  </cols>
  <sheetData>
    <row r="2" spans="2:9" x14ac:dyDescent="0.2">
      <c r="B2" s="40" t="s">
        <v>59</v>
      </c>
      <c r="C2" s="17"/>
      <c r="D2" s="17"/>
      <c r="E2" s="41" t="s">
        <v>60</v>
      </c>
      <c r="F2" s="17"/>
      <c r="H2" s="2"/>
    </row>
    <row r="3" spans="2:9" x14ac:dyDescent="0.2">
      <c r="C3" s="42" t="s">
        <v>61</v>
      </c>
      <c r="E3" s="2"/>
      <c r="F3" s="2" t="s">
        <v>61</v>
      </c>
      <c r="H3" s="2"/>
    </row>
    <row r="4" spans="2:9" x14ac:dyDescent="0.2">
      <c r="B4" t="s">
        <v>62</v>
      </c>
      <c r="C4" s="43">
        <v>17000000</v>
      </c>
      <c r="E4" s="2" t="s">
        <v>63</v>
      </c>
      <c r="F4" s="44">
        <v>389900</v>
      </c>
      <c r="H4" s="2"/>
    </row>
    <row r="5" spans="2:9" x14ac:dyDescent="0.2">
      <c r="B5" t="s">
        <v>64</v>
      </c>
      <c r="C5" s="9">
        <v>0</v>
      </c>
      <c r="E5" s="2" t="s">
        <v>65</v>
      </c>
      <c r="F5" s="45">
        <v>79000</v>
      </c>
      <c r="H5" s="2"/>
    </row>
    <row r="6" spans="2:9" x14ac:dyDescent="0.2">
      <c r="B6" t="s">
        <v>66</v>
      </c>
      <c r="C6" s="16">
        <f>+C4</f>
        <v>17000000</v>
      </c>
      <c r="E6" s="2"/>
      <c r="F6" s="46">
        <f>SUM(F4:F5)</f>
        <v>468900</v>
      </c>
      <c r="H6" s="16"/>
    </row>
    <row r="7" spans="2:9" x14ac:dyDescent="0.2">
      <c r="B7" t="s">
        <v>67</v>
      </c>
      <c r="C7" s="16">
        <v>556000</v>
      </c>
      <c r="E7" s="41" t="s">
        <v>68</v>
      </c>
      <c r="F7" s="17"/>
      <c r="H7" s="2"/>
    </row>
    <row r="8" spans="2:9" x14ac:dyDescent="0.2">
      <c r="B8" t="s">
        <v>69</v>
      </c>
      <c r="C8" s="16">
        <f>+C7*12</f>
        <v>6672000</v>
      </c>
      <c r="E8" s="2" t="s">
        <v>70</v>
      </c>
      <c r="F8" s="44">
        <v>1600000</v>
      </c>
      <c r="H8" s="47" t="s">
        <v>71</v>
      </c>
      <c r="I8" s="48">
        <v>10000000</v>
      </c>
    </row>
    <row r="9" spans="2:9" x14ac:dyDescent="0.2">
      <c r="B9" t="s">
        <v>72</v>
      </c>
      <c r="C9" s="16">
        <f>+C6</f>
        <v>17000000</v>
      </c>
      <c r="E9" s="2" t="s">
        <v>73</v>
      </c>
      <c r="F9" s="44">
        <v>1600000</v>
      </c>
      <c r="H9" s="49" t="s">
        <v>74</v>
      </c>
      <c r="I9" s="18">
        <f>I8-C12-F6-F12-F26-F28-F29</f>
        <v>5275330</v>
      </c>
    </row>
    <row r="10" spans="2:9" x14ac:dyDescent="0.2">
      <c r="C10" s="2"/>
      <c r="E10" s="2"/>
      <c r="F10" s="44"/>
    </row>
    <row r="11" spans="2:9" x14ac:dyDescent="0.2">
      <c r="B11" t="s">
        <v>75</v>
      </c>
      <c r="C11" s="44">
        <v>1699000</v>
      </c>
      <c r="E11" s="2"/>
      <c r="F11" s="44"/>
    </row>
    <row r="12" spans="2:9" x14ac:dyDescent="0.2">
      <c r="B12" t="s">
        <v>64</v>
      </c>
      <c r="C12" s="9">
        <f>C11*23%</f>
        <v>390770</v>
      </c>
      <c r="E12" s="2"/>
      <c r="F12" s="16">
        <f>SUM(F8:F11)</f>
        <v>3200000</v>
      </c>
    </row>
    <row r="13" spans="2:9" x14ac:dyDescent="0.2">
      <c r="B13" t="s">
        <v>76</v>
      </c>
      <c r="C13" s="16">
        <f>C11-C12</f>
        <v>1308230</v>
      </c>
      <c r="E13" s="3" t="s">
        <v>77</v>
      </c>
      <c r="F13" s="17"/>
    </row>
    <row r="14" spans="2:9" x14ac:dyDescent="0.2">
      <c r="B14" t="s">
        <v>78</v>
      </c>
      <c r="C14" s="16">
        <f>C13*3.5%</f>
        <v>45788.05</v>
      </c>
      <c r="E14" s="2" t="s">
        <v>79</v>
      </c>
      <c r="F14" s="50">
        <f>F9</f>
        <v>1600000</v>
      </c>
    </row>
    <row r="15" spans="2:9" x14ac:dyDescent="0.2">
      <c r="B15" t="s">
        <v>80</v>
      </c>
      <c r="C15" s="16">
        <f>C14*12</f>
        <v>549456.60000000009</v>
      </c>
      <c r="E15" s="2"/>
      <c r="F15" s="50"/>
    </row>
    <row r="16" spans="2:9" x14ac:dyDescent="0.2">
      <c r="B16" t="s">
        <v>72</v>
      </c>
      <c r="C16" s="16">
        <f>C13-C15</f>
        <v>758773.39999999991</v>
      </c>
      <c r="E16" s="2"/>
      <c r="F16" s="50"/>
    </row>
    <row r="17" spans="1:11" x14ac:dyDescent="0.2">
      <c r="C17" s="2"/>
      <c r="E17" s="2" t="s">
        <v>81</v>
      </c>
      <c r="F17" s="7">
        <f>(F14+F15+F16)*2</f>
        <v>3200000</v>
      </c>
    </row>
    <row r="18" spans="1:11" x14ac:dyDescent="0.2">
      <c r="B18" t="s">
        <v>82</v>
      </c>
      <c r="C18" s="2"/>
      <c r="E18" s="2"/>
      <c r="F18" s="2"/>
    </row>
    <row r="19" spans="1:11" x14ac:dyDescent="0.2">
      <c r="B19" t="s">
        <v>83</v>
      </c>
      <c r="C19" s="7">
        <f>1560000*12</f>
        <v>18720000</v>
      </c>
      <c r="E19" s="51" t="s">
        <v>84</v>
      </c>
      <c r="F19" s="52"/>
    </row>
    <row r="20" spans="1:11" x14ac:dyDescent="0.2">
      <c r="B20" t="s">
        <v>85</v>
      </c>
      <c r="C20" s="53">
        <f>+C19/12</f>
        <v>1560000</v>
      </c>
      <c r="E20" s="2" t="s">
        <v>86</v>
      </c>
      <c r="F20" s="54">
        <v>150000</v>
      </c>
    </row>
    <row r="21" spans="1:11" x14ac:dyDescent="0.2">
      <c r="C21" s="2"/>
      <c r="E21" s="2" t="s">
        <v>87</v>
      </c>
      <c r="F21" s="54">
        <v>55000</v>
      </c>
    </row>
    <row r="22" spans="1:11" x14ac:dyDescent="0.2">
      <c r="C22" s="7"/>
      <c r="E22" s="2" t="s">
        <v>88</v>
      </c>
      <c r="F22" s="54">
        <v>50000</v>
      </c>
    </row>
    <row r="23" spans="1:11" x14ac:dyDescent="0.2">
      <c r="C23" s="46"/>
      <c r="E23" s="2" t="s">
        <v>89</v>
      </c>
      <c r="F23" s="54">
        <v>130000</v>
      </c>
    </row>
    <row r="24" spans="1:11" x14ac:dyDescent="0.2">
      <c r="C24" s="46"/>
      <c r="E24" s="2" t="s">
        <v>90</v>
      </c>
      <c r="F24" s="54">
        <v>60000</v>
      </c>
    </row>
    <row r="25" spans="1:11" x14ac:dyDescent="0.2">
      <c r="B25" s="55"/>
      <c r="C25" s="46"/>
      <c r="D25" s="56"/>
      <c r="E25" s="1" t="s">
        <v>91</v>
      </c>
      <c r="F25" s="54" t="s">
        <v>92</v>
      </c>
    </row>
    <row r="26" spans="1:11" x14ac:dyDescent="0.2">
      <c r="B26" s="2"/>
      <c r="C26" s="2"/>
      <c r="D26" s="2"/>
      <c r="E26" s="2" t="s">
        <v>93</v>
      </c>
      <c r="F26" s="57">
        <f>SUM(F20:F24)+ 40000</f>
        <v>485000</v>
      </c>
      <c r="G26" s="58"/>
      <c r="H26" s="59"/>
    </row>
    <row r="27" spans="1:11" x14ac:dyDescent="0.2">
      <c r="B27" s="2"/>
      <c r="C27" s="2"/>
      <c r="D27" s="60"/>
      <c r="E27" s="2"/>
      <c r="F27" s="7"/>
      <c r="G27" s="61"/>
      <c r="H27" s="61"/>
    </row>
    <row r="28" spans="1:11" x14ac:dyDescent="0.2">
      <c r="B28" s="2"/>
      <c r="C28" s="2"/>
      <c r="D28" s="60"/>
      <c r="E28" s="2" t="s">
        <v>94</v>
      </c>
      <c r="F28" s="62">
        <v>165000</v>
      </c>
      <c r="G28" s="55"/>
      <c r="H28" s="2"/>
      <c r="I28" s="56"/>
      <c r="J28" s="31"/>
      <c r="K28" s="2"/>
    </row>
    <row r="29" spans="1:11" x14ac:dyDescent="0.2">
      <c r="B29" s="2"/>
      <c r="C29" s="2"/>
      <c r="D29" s="60"/>
      <c r="E29" s="2" t="s">
        <v>95</v>
      </c>
      <c r="F29" s="62">
        <v>15000</v>
      </c>
      <c r="G29" s="2"/>
      <c r="H29" s="2"/>
      <c r="I29" s="2"/>
      <c r="J29" s="2"/>
      <c r="K29" s="2"/>
    </row>
    <row r="30" spans="1:11" x14ac:dyDescent="0.2">
      <c r="B30" s="2"/>
      <c r="C30" s="2"/>
      <c r="D30" s="60"/>
      <c r="E30" s="2"/>
      <c r="F30" s="7"/>
      <c r="G30" s="2"/>
      <c r="H30" s="2"/>
      <c r="I30" s="60"/>
      <c r="J30" s="7"/>
      <c r="K30" s="2"/>
    </row>
    <row r="31" spans="1:11" x14ac:dyDescent="0.2">
      <c r="A31" s="55"/>
      <c r="B31" s="2"/>
      <c r="C31" s="56"/>
      <c r="D31" s="31"/>
      <c r="G31" s="2"/>
      <c r="H31" s="2"/>
      <c r="I31" s="60"/>
      <c r="J31" s="7"/>
      <c r="K31" s="2"/>
    </row>
    <row r="32" spans="1:11" x14ac:dyDescent="0.2">
      <c r="A32" s="2"/>
      <c r="B32" s="2"/>
      <c r="C32" s="2"/>
      <c r="D32" s="2"/>
      <c r="E32" s="31"/>
      <c r="F32" s="61"/>
      <c r="G32" s="2"/>
      <c r="H32" s="2"/>
      <c r="I32" s="60"/>
      <c r="J32" s="7"/>
      <c r="K32" s="2"/>
    </row>
    <row r="33" spans="1:11" x14ac:dyDescent="0.2">
      <c r="A33" s="2"/>
      <c r="B33" s="2"/>
      <c r="C33" s="60"/>
      <c r="D33" s="7"/>
      <c r="E33" s="2"/>
      <c r="F33" s="61"/>
      <c r="G33" s="2"/>
      <c r="H33" s="2"/>
      <c r="I33" s="60"/>
      <c r="J33" s="7"/>
      <c r="K33" s="2"/>
    </row>
    <row r="34" spans="1:11" x14ac:dyDescent="0.2">
      <c r="A34" s="2"/>
      <c r="B34" s="2"/>
      <c r="C34" s="60"/>
      <c r="D34" s="7"/>
      <c r="E34" s="7"/>
      <c r="F34" s="61"/>
      <c r="G34" s="2"/>
      <c r="H34" s="2"/>
      <c r="I34" s="2"/>
      <c r="J34" s="2"/>
      <c r="K34" s="2"/>
    </row>
    <row r="35" spans="1:11" x14ac:dyDescent="0.2">
      <c r="A35" s="2"/>
      <c r="B35" s="2"/>
      <c r="C35" s="60"/>
      <c r="D35" s="7"/>
      <c r="E35" s="7"/>
      <c r="F35" s="61"/>
      <c r="G35" s="31"/>
      <c r="H35" s="31"/>
      <c r="I35" s="2"/>
      <c r="J35" s="7"/>
      <c r="K35" s="2"/>
    </row>
    <row r="36" spans="1:11" x14ac:dyDescent="0.2">
      <c r="A36" s="2"/>
      <c r="B36" s="2"/>
      <c r="C36" s="60"/>
      <c r="D36" s="7"/>
      <c r="E36" s="7"/>
      <c r="F36" s="61"/>
      <c r="G36" s="2"/>
      <c r="H36" s="2"/>
      <c r="I36" s="31"/>
      <c r="J36" s="16"/>
      <c r="K36" s="2"/>
    </row>
    <row r="37" spans="1:11" x14ac:dyDescent="0.2">
      <c r="A37" s="2"/>
      <c r="B37" s="2"/>
      <c r="C37" s="2"/>
      <c r="D37" s="2"/>
      <c r="E37" s="7"/>
      <c r="F37" s="61"/>
    </row>
    <row r="38" spans="1:11" x14ac:dyDescent="0.2">
      <c r="A38" s="31"/>
      <c r="B38" s="31"/>
      <c r="C38" s="2"/>
      <c r="D38" s="7"/>
      <c r="F38" s="61"/>
    </row>
    <row r="39" spans="1:11" x14ac:dyDescent="0.2">
      <c r="A39" s="2"/>
      <c r="B39" s="2"/>
      <c r="C39" s="31"/>
      <c r="D39" s="16"/>
      <c r="F39" s="59"/>
    </row>
    <row r="40" spans="1:11" x14ac:dyDescent="0.2">
      <c r="A40" s="2"/>
      <c r="B40" s="2"/>
      <c r="C40" s="2"/>
      <c r="D40" s="2"/>
      <c r="F40" s="61"/>
    </row>
    <row r="41" spans="1:11" x14ac:dyDescent="0.2">
      <c r="A41" s="2"/>
      <c r="B41" s="2"/>
      <c r="C41" s="2"/>
      <c r="D41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3"/>
  <sheetViews>
    <sheetView workbookViewId="0">
      <selection sqref="A1:XFD1048576"/>
    </sheetView>
  </sheetViews>
  <sheetFormatPr baseColWidth="10" defaultColWidth="11.5" defaultRowHeight="16" x14ac:dyDescent="0.2"/>
  <cols>
    <col min="2" max="2" width="24.5" bestFit="1" customWidth="1"/>
    <col min="3" max="3" width="15.1640625" bestFit="1" customWidth="1"/>
    <col min="5" max="5" width="24" customWidth="1"/>
    <col min="6" max="6" width="15.1640625" bestFit="1" customWidth="1"/>
    <col min="9" max="9" width="20" customWidth="1"/>
    <col min="10" max="10" width="16.33203125" bestFit="1" customWidth="1"/>
    <col min="12" max="12" width="20.5" bestFit="1" customWidth="1"/>
    <col min="13" max="13" width="15.1640625" bestFit="1" customWidth="1"/>
  </cols>
  <sheetData>
    <row r="2" spans="2:13" x14ac:dyDescent="0.2">
      <c r="I2" s="41" t="s">
        <v>96</v>
      </c>
      <c r="L2" s="41" t="s">
        <v>97</v>
      </c>
    </row>
    <row r="3" spans="2:13" x14ac:dyDescent="0.2">
      <c r="B3" s="41" t="s">
        <v>98</v>
      </c>
      <c r="E3" s="41" t="s">
        <v>99</v>
      </c>
    </row>
    <row r="4" spans="2:13" x14ac:dyDescent="0.2">
      <c r="I4" t="s">
        <v>100</v>
      </c>
      <c r="J4" s="8">
        <f>'[1]PRICES AND EARNINGS'!E34</f>
        <v>43240000</v>
      </c>
      <c r="L4" t="s">
        <v>100</v>
      </c>
      <c r="M4" s="8">
        <f>'[1]PRICES AND EARNINGS'!E34*(-10%)+'[1]PRICES AND EARNINGS'!E34</f>
        <v>38916000</v>
      </c>
    </row>
    <row r="5" spans="2:13" x14ac:dyDescent="0.2">
      <c r="B5" t="s">
        <v>101</v>
      </c>
      <c r="C5" s="8">
        <f>'[1]PRICES AND EARNINGS'!E36</f>
        <v>53394211.950000003</v>
      </c>
      <c r="E5" t="s">
        <v>102</v>
      </c>
      <c r="F5" s="8">
        <f>'[1]COSTOS Y GASTOS'!C7+'[1]COSTOS Y GASTOS'!C14</f>
        <v>601788.05000000005</v>
      </c>
      <c r="I5" t="s">
        <v>103</v>
      </c>
      <c r="J5" s="8">
        <f>'[1]WAGES AND BENEFITS'!F22+'[1]COSTOS Y GASTOS'!F17+'[1]COSTOS Y GASTOS'!F2+'[1]COSTOS Y GASTOS'!C15</f>
        <v>21349456.600000001</v>
      </c>
      <c r="L5" t="s">
        <v>103</v>
      </c>
      <c r="M5" s="8">
        <f>J15*15%+J15</f>
        <v>24797393.8409</v>
      </c>
    </row>
    <row r="6" spans="2:13" x14ac:dyDescent="0.2">
      <c r="B6" t="s">
        <v>104</v>
      </c>
      <c r="C6" s="8">
        <f>'[1]COSTOS Y GASTOS'!C4+'[1]COSTOS Y GASTOS'!C11+'[1]COSTOS Y GASTOS'!F4+'[1]COSTOS Y GASTOS'!F5</f>
        <v>19167900</v>
      </c>
      <c r="E6" t="s">
        <v>105</v>
      </c>
      <c r="F6" s="8">
        <f>(C6*16%)+(C6*3.5%)+(C6*11.04%)</f>
        <v>5853876.6600000001</v>
      </c>
      <c r="I6" t="s">
        <v>106</v>
      </c>
      <c r="J6" s="8">
        <f>J4-J5</f>
        <v>21890543.399999999</v>
      </c>
      <c r="L6" t="s">
        <v>106</v>
      </c>
      <c r="M6" s="8">
        <f>M4-M5</f>
        <v>14118606.1591</v>
      </c>
    </row>
    <row r="7" spans="2:13" x14ac:dyDescent="0.2">
      <c r="I7" t="s">
        <v>107</v>
      </c>
      <c r="J7" s="8">
        <f>'[1]COSTOS Y GASTOS'!C19+'[1]COSTOS Y GASTOS'!C22+'[1]COSTOS Y GASTOS'!C25</f>
        <v>18720000</v>
      </c>
      <c r="L7" t="s">
        <v>107</v>
      </c>
      <c r="M7" s="8">
        <f>J17*15%+J17</f>
        <v>21743280</v>
      </c>
    </row>
    <row r="8" spans="2:13" x14ac:dyDescent="0.2">
      <c r="B8" t="s">
        <v>108</v>
      </c>
      <c r="C8" s="9">
        <f>SUM(C5,C6)</f>
        <v>72562111.950000003</v>
      </c>
      <c r="E8" t="s">
        <v>109</v>
      </c>
      <c r="F8" s="18">
        <f>F5+F6</f>
        <v>6455664.71</v>
      </c>
      <c r="I8" t="s">
        <v>110</v>
      </c>
      <c r="J8" s="8">
        <f>J6-J7</f>
        <v>3170543.3999999985</v>
      </c>
      <c r="L8" t="s">
        <v>110</v>
      </c>
      <c r="M8" s="8">
        <f>M6-M7</f>
        <v>-7624673.8409000002</v>
      </c>
    </row>
    <row r="9" spans="2:13" x14ac:dyDescent="0.2">
      <c r="I9" t="s">
        <v>0</v>
      </c>
      <c r="J9" s="8">
        <f>F6</f>
        <v>5853876.6600000001</v>
      </c>
      <c r="L9" t="s">
        <v>0</v>
      </c>
      <c r="M9" s="8">
        <f>25000000*16%+25000000*3.5%+26000000*11.04%</f>
        <v>7745400</v>
      </c>
    </row>
    <row r="10" spans="2:13" x14ac:dyDescent="0.2">
      <c r="E10" s="41" t="s">
        <v>111</v>
      </c>
      <c r="I10" t="s">
        <v>112</v>
      </c>
      <c r="J10" s="18">
        <f>J8-J9</f>
        <v>-2683333.2600000016</v>
      </c>
      <c r="L10" t="s">
        <v>112</v>
      </c>
      <c r="M10" s="18">
        <f>M8-M9</f>
        <v>-15370073.8409</v>
      </c>
    </row>
    <row r="11" spans="2:13" x14ac:dyDescent="0.2">
      <c r="E11" t="s">
        <v>71</v>
      </c>
      <c r="F11" s="8">
        <f>'[1]COSTOS Y GASTOS'!I9</f>
        <v>5275330</v>
      </c>
    </row>
    <row r="12" spans="2:13" x14ac:dyDescent="0.2">
      <c r="E12" t="s">
        <v>113</v>
      </c>
      <c r="F12" s="8">
        <f>C8-F8-F11</f>
        <v>60831117.240000002</v>
      </c>
      <c r="I12" s="41" t="s">
        <v>114</v>
      </c>
      <c r="L12" t="s">
        <v>115</v>
      </c>
    </row>
    <row r="13" spans="2:13" x14ac:dyDescent="0.2">
      <c r="L13" t="s">
        <v>116</v>
      </c>
    </row>
    <row r="14" spans="2:13" x14ac:dyDescent="0.2">
      <c r="E14" t="s">
        <v>117</v>
      </c>
      <c r="F14" s="18">
        <f>F11+F12</f>
        <v>66106447.240000002</v>
      </c>
      <c r="I14" t="s">
        <v>100</v>
      </c>
      <c r="J14" s="8">
        <f>'[1]PRICES AND EARNINGS'!E34*5%+'[1]PRICES AND EARNINGS'!E34</f>
        <v>45402000</v>
      </c>
    </row>
    <row r="15" spans="2:13" x14ac:dyDescent="0.2">
      <c r="E15" t="s">
        <v>118</v>
      </c>
      <c r="F15" s="9">
        <f>F14+F8</f>
        <v>72562111.950000003</v>
      </c>
      <c r="I15" t="s">
        <v>103</v>
      </c>
      <c r="J15" s="8">
        <f>J5*1%+J5</f>
        <v>21562951.166000001</v>
      </c>
    </row>
    <row r="16" spans="2:13" x14ac:dyDescent="0.2">
      <c r="I16" t="s">
        <v>106</v>
      </c>
      <c r="J16" s="8">
        <f>J14-J15</f>
        <v>23839048.833999999</v>
      </c>
    </row>
    <row r="17" spans="9:10" x14ac:dyDescent="0.2">
      <c r="I17" t="s">
        <v>107</v>
      </c>
      <c r="J17" s="8">
        <f>J7*1%+J7</f>
        <v>18907200</v>
      </c>
    </row>
    <row r="18" spans="9:10" x14ac:dyDescent="0.2">
      <c r="I18" t="s">
        <v>110</v>
      </c>
      <c r="J18" s="8">
        <f>J16-J17</f>
        <v>4931848.8339999989</v>
      </c>
    </row>
    <row r="19" spans="9:10" x14ac:dyDescent="0.2">
      <c r="I19" t="s">
        <v>0</v>
      </c>
      <c r="J19" s="8">
        <f>25000000*16%+25000000*3.5%+25000000*11.04%</f>
        <v>7635000</v>
      </c>
    </row>
    <row r="20" spans="9:10" x14ac:dyDescent="0.2">
      <c r="I20" t="s">
        <v>112</v>
      </c>
      <c r="J20" s="18">
        <f>J18-J19</f>
        <v>-2703151.1660000011</v>
      </c>
    </row>
    <row r="22" spans="9:10" x14ac:dyDescent="0.2">
      <c r="I22" t="s">
        <v>119</v>
      </c>
    </row>
    <row r="23" spans="9:10" x14ac:dyDescent="0.2">
      <c r="I23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PRICES AND EARNINGS</vt:lpstr>
      <vt:lpstr>WAGES AND BENEFITS</vt:lpstr>
      <vt:lpstr>COSTOS &amp; GASTOS</vt:lpstr>
      <vt:lpstr>BALANCE GENERAL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Usuario de Microsoft Office</cp:lastModifiedBy>
  <dcterms:created xsi:type="dcterms:W3CDTF">2016-03-30T15:03:22Z</dcterms:created>
  <dcterms:modified xsi:type="dcterms:W3CDTF">2016-04-04T17:25:49Z</dcterms:modified>
</cp:coreProperties>
</file>